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igenaar\Desktop\"/>
    </mc:Choice>
  </mc:AlternateContent>
  <xr:revisionPtr revIDLastSave="0" documentId="13_ncr:1_{77F51C78-BA04-4A8F-9FEA-4DBBAB0BF57A}" xr6:coauthVersionLast="45" xr6:coauthVersionMax="45" xr10:uidLastSave="{00000000-0000-0000-0000-000000000000}"/>
  <workbookProtection workbookPassword="F5AB" lockStructure="1"/>
  <bookViews>
    <workbookView xWindow="-120" yWindow="-120" windowWidth="20730" windowHeight="11760" xr2:uid="{00000000-000D-0000-FFFF-FFFF00000000}"/>
  </bookViews>
  <sheets>
    <sheet name="Berekening" sheetId="1" r:id="rId1"/>
  </sheets>
  <definedNames>
    <definedName name="_xlnm.Print_Area" localSheetId="0">Berekening!$B$2:$M$31</definedName>
  </definedNames>
  <calcPr calcId="191029" iterate="1" iterateCount="250" iterateDelta="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19" i="1"/>
  <c r="L10" i="1" l="1"/>
  <c r="L11" i="1"/>
  <c r="L12" i="1"/>
  <c r="L13" i="1"/>
  <c r="L9" i="1"/>
  <c r="K49" i="1" l="1"/>
  <c r="H5" i="1" l="1"/>
  <c r="K5" i="1" s="1"/>
  <c r="J5" i="1" l="1"/>
  <c r="L5" i="1"/>
  <c r="I5" i="1"/>
  <c r="K47" i="1" l="1"/>
  <c r="K48" i="1"/>
  <c r="K46" i="1"/>
  <c r="K45" i="1"/>
  <c r="G17" i="1" l="1"/>
  <c r="F16" i="1" s="1"/>
  <c r="H16" i="1" s="1"/>
  <c r="H17" i="1" l="1"/>
  <c r="K50" i="1"/>
  <c r="K51" i="1" s="1"/>
  <c r="AB30" i="1"/>
  <c r="AC30" i="1" s="1"/>
  <c r="AA31" i="1"/>
  <c r="AA32" i="1" s="1"/>
  <c r="Y30" i="1"/>
  <c r="Z30" i="1" s="1"/>
  <c r="X31" i="1"/>
  <c r="V30" i="1"/>
  <c r="W30" i="1" s="1"/>
  <c r="U31" i="1"/>
  <c r="U32" i="1" s="1"/>
  <c r="S30" i="1"/>
  <c r="Y31" i="1" l="1"/>
  <c r="AB32" i="1"/>
  <c r="V33" i="1"/>
  <c r="Y32" i="1"/>
  <c r="AB31" i="1"/>
  <c r="T30" i="1"/>
  <c r="S31" i="1" s="1"/>
  <c r="V31" i="1"/>
  <c r="V32" i="1"/>
  <c r="AB33" i="1"/>
  <c r="AA33" i="1"/>
  <c r="AB34" i="1" s="1"/>
  <c r="X32" i="1"/>
  <c r="Y33" i="1" s="1"/>
  <c r="U33" i="1"/>
  <c r="V34" i="1" s="1"/>
  <c r="R31" i="1"/>
  <c r="R32" i="1" s="1"/>
  <c r="O31" i="1"/>
  <c r="O32" i="1" s="1"/>
  <c r="O33" i="1" s="1"/>
  <c r="O34" i="1" s="1"/>
  <c r="O35" i="1" s="1"/>
  <c r="O36" i="1" s="1"/>
  <c r="O37" i="1" s="1"/>
  <c r="O38" i="1" s="1"/>
  <c r="O39" i="1" s="1"/>
  <c r="H9" i="1" s="1"/>
  <c r="I9" i="1" s="1"/>
  <c r="M41" i="1"/>
  <c r="M40" i="1"/>
  <c r="M39" i="1"/>
  <c r="M38" i="1"/>
  <c r="M37" i="1"/>
  <c r="O40" i="1" l="1"/>
  <c r="O41" i="1" s="1"/>
  <c r="O42" i="1" s="1"/>
  <c r="O43" i="1" s="1"/>
  <c r="O44" i="1" s="1"/>
  <c r="O45" i="1" s="1"/>
  <c r="O46" i="1" s="1"/>
  <c r="O47" i="1" s="1"/>
  <c r="O48" i="1" s="1"/>
  <c r="O49" i="1" s="1"/>
  <c r="S33" i="1"/>
  <c r="S32" i="1"/>
  <c r="AA34" i="1"/>
  <c r="AB35" i="1" s="1"/>
  <c r="X33" i="1"/>
  <c r="Y34" i="1" s="1"/>
  <c r="U34" i="1"/>
  <c r="V35" i="1" s="1"/>
  <c r="R33" i="1"/>
  <c r="S34" i="1" s="1"/>
  <c r="K38" i="1"/>
  <c r="K39" i="1"/>
  <c r="K40" i="1"/>
  <c r="K41" i="1"/>
  <c r="K37" i="1"/>
  <c r="Q30" i="1"/>
  <c r="I20" i="1"/>
  <c r="G24" i="1" l="1"/>
  <c r="H24" i="1" s="1"/>
  <c r="P34" i="1"/>
  <c r="P36" i="1"/>
  <c r="P38" i="1"/>
  <c r="P40" i="1"/>
  <c r="P44" i="1"/>
  <c r="P46" i="1"/>
  <c r="P32" i="1"/>
  <c r="P33" i="1"/>
  <c r="P35" i="1"/>
  <c r="P37" i="1"/>
  <c r="P39" i="1"/>
  <c r="P41" i="1"/>
  <c r="P43" i="1"/>
  <c r="P45" i="1"/>
  <c r="P47" i="1"/>
  <c r="P49" i="1"/>
  <c r="P31" i="1"/>
  <c r="P42" i="1"/>
  <c r="P48" i="1"/>
  <c r="AA35" i="1"/>
  <c r="AB36" i="1" s="1"/>
  <c r="X34" i="1"/>
  <c r="Y35" i="1" s="1"/>
  <c r="U35" i="1"/>
  <c r="V36" i="1" s="1"/>
  <c r="R34" i="1"/>
  <c r="S35" i="1" s="1"/>
  <c r="AA36" i="1" l="1"/>
  <c r="AB37" i="1" s="1"/>
  <c r="X35" i="1"/>
  <c r="Y36" i="1" s="1"/>
  <c r="U36" i="1"/>
  <c r="V37" i="1" s="1"/>
  <c r="R35" i="1"/>
  <c r="S36" i="1" s="1"/>
  <c r="AA37" i="1" l="1"/>
  <c r="AB38" i="1" s="1"/>
  <c r="X36" i="1"/>
  <c r="Y37" i="1" s="1"/>
  <c r="U37" i="1"/>
  <c r="V38" i="1" s="1"/>
  <c r="R36" i="1"/>
  <c r="S37" i="1" s="1"/>
  <c r="AA38" i="1" l="1"/>
  <c r="AB39" i="1" s="1"/>
  <c r="X37" i="1"/>
  <c r="Y38" i="1" s="1"/>
  <c r="U38" i="1"/>
  <c r="V39" i="1" s="1"/>
  <c r="R37" i="1"/>
  <c r="S38" i="1" s="1"/>
  <c r="AA39" i="1" l="1"/>
  <c r="H13" i="1" s="1"/>
  <c r="I13" i="1" s="1"/>
  <c r="X38" i="1"/>
  <c r="Y39" i="1" s="1"/>
  <c r="U39" i="1"/>
  <c r="H11" i="1" s="1"/>
  <c r="I11" i="1" s="1"/>
  <c r="R38" i="1"/>
  <c r="S39" i="1" s="1"/>
  <c r="V40" i="1" l="1"/>
  <c r="AB40" i="1"/>
  <c r="AA40" i="1"/>
  <c r="AB41" i="1" s="1"/>
  <c r="X39" i="1"/>
  <c r="H12" i="1" s="1"/>
  <c r="I12" i="1" s="1"/>
  <c r="U40" i="1"/>
  <c r="V41" i="1" s="1"/>
  <c r="R39" i="1"/>
  <c r="H10" i="1" s="1"/>
  <c r="I10" i="1" s="1"/>
  <c r="H18" i="1" l="1"/>
  <c r="S40" i="1"/>
  <c r="Y40" i="1"/>
  <c r="AA41" i="1"/>
  <c r="AB42" i="1" s="1"/>
  <c r="X40" i="1"/>
  <c r="Y41" i="1" s="1"/>
  <c r="U41" i="1"/>
  <c r="V42" i="1" s="1"/>
  <c r="R40" i="1"/>
  <c r="S41" i="1" s="1"/>
  <c r="AA42" i="1" l="1"/>
  <c r="AB43" i="1" s="1"/>
  <c r="X41" i="1"/>
  <c r="Y42" i="1" s="1"/>
  <c r="U42" i="1"/>
  <c r="V43" i="1" s="1"/>
  <c r="R41" i="1"/>
  <c r="S42" i="1" s="1"/>
  <c r="AA43" i="1" l="1"/>
  <c r="AB44" i="1" s="1"/>
  <c r="X42" i="1"/>
  <c r="Y43" i="1" s="1"/>
  <c r="U43" i="1"/>
  <c r="V44" i="1" s="1"/>
  <c r="R42" i="1"/>
  <c r="S43" i="1" s="1"/>
  <c r="AA44" i="1" l="1"/>
  <c r="AB45" i="1" s="1"/>
  <c r="X43" i="1"/>
  <c r="Y44" i="1" s="1"/>
  <c r="U44" i="1"/>
  <c r="V45" i="1" s="1"/>
  <c r="R43" i="1"/>
  <c r="S44" i="1" s="1"/>
  <c r="AA45" i="1" l="1"/>
  <c r="AB46" i="1" s="1"/>
  <c r="X44" i="1"/>
  <c r="Y45" i="1" s="1"/>
  <c r="U45" i="1"/>
  <c r="V46" i="1" s="1"/>
  <c r="R44" i="1"/>
  <c r="S45" i="1" s="1"/>
  <c r="AA46" i="1" l="1"/>
  <c r="AB47" i="1" s="1"/>
  <c r="X45" i="1"/>
  <c r="Y46" i="1" s="1"/>
  <c r="U46" i="1"/>
  <c r="V47" i="1" s="1"/>
  <c r="R45" i="1"/>
  <c r="S46" i="1" s="1"/>
  <c r="AA47" i="1" l="1"/>
  <c r="AB48" i="1" s="1"/>
  <c r="X46" i="1"/>
  <c r="Y47" i="1" s="1"/>
  <c r="U47" i="1"/>
  <c r="V48" i="1" s="1"/>
  <c r="R46" i="1"/>
  <c r="S47" i="1" s="1"/>
  <c r="AA48" i="1" l="1"/>
  <c r="AB49" i="1" s="1"/>
  <c r="X47" i="1"/>
  <c r="Y48" i="1" s="1"/>
  <c r="U48" i="1"/>
  <c r="V49" i="1" s="1"/>
  <c r="R47" i="1"/>
  <c r="S48" i="1" s="1"/>
  <c r="AA49" i="1" l="1"/>
  <c r="X48" i="1"/>
  <c r="Y49" i="1" s="1"/>
  <c r="U49" i="1"/>
  <c r="R48" i="1"/>
  <c r="S49" i="1" s="1"/>
  <c r="X49" i="1" l="1"/>
  <c r="R49" i="1"/>
  <c r="I18" i="1"/>
  <c r="H25" i="1"/>
  <c r="I25" i="1" l="1"/>
  <c r="H26" i="1"/>
  <c r="H27" i="1" s="1"/>
  <c r="I27" i="1" s="1"/>
</calcChain>
</file>

<file path=xl/sharedStrings.xml><?xml version="1.0" encoding="utf-8"?>
<sst xmlns="http://schemas.openxmlformats.org/spreadsheetml/2006/main" count="80" uniqueCount="53">
  <si>
    <t>Licentie</t>
  </si>
  <si>
    <t>Private Wealth Navigator</t>
  </si>
  <si>
    <t>Private Estate Planner</t>
  </si>
  <si>
    <t>Private Asset Planner</t>
  </si>
  <si>
    <t>Private Pension Planner</t>
  </si>
  <si>
    <t>Rekentools los</t>
  </si>
  <si>
    <t>Documenten en overige hulpmiddelen</t>
  </si>
  <si>
    <t>Helpdesk</t>
  </si>
  <si>
    <t>Subtotaal per jaar</t>
  </si>
  <si>
    <t>Aantal licenties</t>
  </si>
  <si>
    <t>Prijs [1]</t>
  </si>
  <si>
    <t>Inbegrepen</t>
  </si>
  <si>
    <t>Hoofdlicentie</t>
  </si>
  <si>
    <t>Sublicentie</t>
  </si>
  <si>
    <t>Prijs [2]</t>
  </si>
  <si>
    <t>PWN</t>
  </si>
  <si>
    <t>PEP</t>
  </si>
  <si>
    <t>Extra korting volledig pakket</t>
  </si>
  <si>
    <t>PAP</t>
  </si>
  <si>
    <t>PPP</t>
  </si>
  <si>
    <t>Rekentools</t>
  </si>
  <si>
    <t>Nee</t>
  </si>
  <si>
    <t>[1] ex btw per jaar</t>
  </si>
  <si>
    <t>Af: Korting Federatie Financieel Planner</t>
  </si>
  <si>
    <t>Af: Korting Register Belastingadviseur</t>
  </si>
  <si>
    <t>Af: Korting Vereniging Life Planner Nederland</t>
  </si>
  <si>
    <t>Meer info:</t>
  </si>
  <si>
    <t>Kennisdesk</t>
  </si>
  <si>
    <t>Kennisdesk (= bij afname volledig pakket)</t>
  </si>
  <si>
    <t>(bij afname volledig pakket)</t>
  </si>
  <si>
    <t>Startersaanbod</t>
  </si>
  <si>
    <t>Bekijk ook ons startersaanbod! &gt;&gt;</t>
  </si>
  <si>
    <t>(op hoofdlicentie(s))</t>
  </si>
  <si>
    <t>Berekening korting</t>
  </si>
  <si>
    <t>Totaal</t>
  </si>
  <si>
    <t>Gemiddeld</t>
  </si>
  <si>
    <t>gemiddeld per licentie</t>
  </si>
  <si>
    <t>Pakket</t>
  </si>
  <si>
    <t>A</t>
  </si>
  <si>
    <t>B</t>
  </si>
  <si>
    <t>C</t>
  </si>
  <si>
    <t>D</t>
  </si>
  <si>
    <t>E</t>
  </si>
  <si>
    <t>Uw pakketselectie:</t>
  </si>
  <si>
    <t>Licenties [2]</t>
  </si>
  <si>
    <t xml:space="preserve">[2] min aantal obv aantal </t>
  </si>
  <si>
    <t>gekozen licenties ander pakket</t>
  </si>
  <si>
    <t xml:space="preserve">Af: Korting Register Estate Planners </t>
  </si>
  <si>
    <t>Af: Korting Federatie Vermogens Planner of RFEA</t>
  </si>
  <si>
    <t>Prijslijst per 1-1-2020</t>
  </si>
  <si>
    <t xml:space="preserve">Toegepaste korting </t>
  </si>
  <si>
    <t>PrivateWealthNetwork</t>
  </si>
  <si>
    <t>versie 1.07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</si>
</sst>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FF0000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10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4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4" fontId="1" fillId="0" borderId="1" xfId="0" applyNumberFormat="1" applyFont="1" applyBorder="1" applyProtection="1">
      <protection hidden="1"/>
    </xf>
    <xf numFmtId="0" fontId="0" fillId="0" borderId="10" xfId="0" applyBorder="1" applyProtection="1">
      <protection hidden="1"/>
    </xf>
    <xf numFmtId="10" fontId="0" fillId="0" borderId="0" xfId="0" applyNumberFormat="1" applyProtection="1">
      <protection hidden="1"/>
    </xf>
    <xf numFmtId="10" fontId="1" fillId="0" borderId="1" xfId="0" applyNumberFormat="1" applyFont="1" applyBorder="1" applyAlignment="1" applyProtection="1">
      <alignment horizontal="center" vertical="center"/>
      <protection hidden="1"/>
    </xf>
    <xf numFmtId="4" fontId="1" fillId="4" borderId="1" xfId="0" applyNumberFormat="1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1" fillId="0" borderId="8" xfId="0" applyFon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3" fontId="0" fillId="0" borderId="0" xfId="0" applyNumberFormat="1" applyBorder="1" applyProtection="1">
      <protection hidden="1"/>
    </xf>
    <xf numFmtId="3" fontId="0" fillId="0" borderId="5" xfId="0" applyNumberFormat="1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6" xfId="0" applyBorder="1" applyProtection="1">
      <protection hidden="1"/>
    </xf>
    <xf numFmtId="3" fontId="0" fillId="0" borderId="9" xfId="0" applyNumberFormat="1" applyBorder="1" applyProtection="1">
      <protection hidden="1"/>
    </xf>
    <xf numFmtId="0" fontId="0" fillId="0" borderId="7" xfId="0" applyBorder="1" applyProtection="1">
      <protection hidden="1"/>
    </xf>
    <xf numFmtId="0" fontId="2" fillId="0" borderId="0" xfId="1" applyProtection="1">
      <protection hidden="1"/>
    </xf>
    <xf numFmtId="2" fontId="0" fillId="0" borderId="1" xfId="0" applyNumberFormat="1" applyBorder="1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0" fontId="0" fillId="0" borderId="13" xfId="0" applyBorder="1" applyProtection="1">
      <protection hidden="1"/>
    </xf>
    <xf numFmtId="0" fontId="4" fillId="0" borderId="0" xfId="0" applyFont="1" applyProtection="1">
      <protection hidden="1"/>
    </xf>
    <xf numFmtId="3" fontId="1" fillId="0" borderId="1" xfId="0" applyNumberFormat="1" applyFont="1" applyBorder="1" applyAlignment="1" applyProtection="1">
      <alignment horizontal="center" vertical="center" shrinkToFit="1"/>
      <protection hidden="1"/>
    </xf>
    <xf numFmtId="2" fontId="0" fillId="0" borderId="0" xfId="0" applyNumberFormat="1" applyProtection="1">
      <protection hidden="1"/>
    </xf>
    <xf numFmtId="4" fontId="0" fillId="0" borderId="0" xfId="0" applyNumberFormat="1" applyProtection="1">
      <protection hidden="1"/>
    </xf>
    <xf numFmtId="0" fontId="0" fillId="0" borderId="12" xfId="0" applyBorder="1" applyAlignment="1" applyProtection="1">
      <alignment horizontal="right" vertical="center" shrinkToFit="1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center" shrinkToFit="1"/>
      <protection hidden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2" fillId="0" borderId="14" xfId="1" applyBorder="1" applyAlignment="1" applyProtection="1">
      <protection hidden="1"/>
    </xf>
    <xf numFmtId="0" fontId="0" fillId="0" borderId="15" xfId="0" applyBorder="1" applyAlignment="1"/>
    <xf numFmtId="0" fontId="2" fillId="0" borderId="0" xfId="1" applyBorder="1" applyAlignment="1" applyProtection="1">
      <protection hidden="1"/>
    </xf>
    <xf numFmtId="0" fontId="0" fillId="0" borderId="0" xfId="0" applyBorder="1" applyAlignment="1"/>
  </cellXfs>
  <cellStyles count="2">
    <cellStyle name="Hyperlink" xfId="1" builtinId="8"/>
    <cellStyle name="Standaard" xfId="0" builtinId="0"/>
  </cellStyles>
  <dxfs count="18">
    <dxf>
      <font>
        <color theme="0"/>
      </font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border>
        <right style="hair">
          <color auto="1"/>
        </right>
        <vertical/>
        <horizontal/>
      </border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1</xdr:row>
      <xdr:rowOff>38100</xdr:rowOff>
    </xdr:from>
    <xdr:to>
      <xdr:col>5</xdr:col>
      <xdr:colOff>514038</xdr:colOff>
      <xdr:row>7</xdr:row>
      <xdr:rowOff>57005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" y="228600"/>
          <a:ext cx="2495238" cy="1161905"/>
        </a:xfrm>
        <a:prstGeom prst="rect">
          <a:avLst/>
        </a:prstGeom>
      </xdr:spPr>
    </xdr:pic>
    <xdr:clientData/>
  </xdr:twoCellAnchor>
  <xdr:twoCellAnchor>
    <xdr:from>
      <xdr:col>0</xdr:col>
      <xdr:colOff>438150</xdr:colOff>
      <xdr:row>5</xdr:row>
      <xdr:rowOff>38100</xdr:rowOff>
    </xdr:from>
    <xdr:to>
      <xdr:col>0</xdr:col>
      <xdr:colOff>483869</xdr:colOff>
      <xdr:row>10</xdr:row>
      <xdr:rowOff>95250</xdr:rowOff>
    </xdr:to>
    <xdr:sp macro="" textlink="">
      <xdr:nvSpPr>
        <xdr:cNvPr id="3" name="Up-Down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8150" y="990600"/>
          <a:ext cx="45719" cy="100965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0</xdr:colOff>
      <xdr:row>0</xdr:row>
      <xdr:rowOff>104775</xdr:rowOff>
    </xdr:from>
    <xdr:to>
      <xdr:col>6</xdr:col>
      <xdr:colOff>647700</xdr:colOff>
      <xdr:row>0</xdr:row>
      <xdr:rowOff>171450</xdr:rowOff>
    </xdr:to>
    <xdr:sp macro="" textlink="">
      <xdr:nvSpPr>
        <xdr:cNvPr id="4" name="Left-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048000" y="104775"/>
          <a:ext cx="1257300" cy="6667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ivatewealthsupport.nl/privatewealthnetwork/" TargetMode="External"/><Relationship Id="rId3" Type="http://schemas.openxmlformats.org/officeDocument/2006/relationships/hyperlink" Target="https://www.privatewealthsupport.nl/de-private-estate-planner/" TargetMode="External"/><Relationship Id="rId7" Type="http://schemas.openxmlformats.org/officeDocument/2006/relationships/hyperlink" Target="https://www.privatewealthsupport.nl/startersaanbod/" TargetMode="External"/><Relationship Id="rId2" Type="http://schemas.openxmlformats.org/officeDocument/2006/relationships/hyperlink" Target="https://www.privatewealthsupport.nl/private-wealth-navigator/" TargetMode="External"/><Relationship Id="rId1" Type="http://schemas.openxmlformats.org/officeDocument/2006/relationships/hyperlink" Target="https://www.privatewealthsupport.nl/private-wealth-navigator/" TargetMode="External"/><Relationship Id="rId6" Type="http://schemas.openxmlformats.org/officeDocument/2006/relationships/hyperlink" Target="https://www.privatewealthsupport.nl/kennisdesk/" TargetMode="External"/><Relationship Id="rId5" Type="http://schemas.openxmlformats.org/officeDocument/2006/relationships/hyperlink" Target="https://www.privatewealthsupport.nl/private-pension-planner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privatewealthsupport.nl/private-asset-planner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52"/>
  <sheetViews>
    <sheetView showGridLines="0" showRowColHeaders="0" tabSelected="1" workbookViewId="0">
      <pane xSplit="6" ySplit="7" topLeftCell="G8" activePane="bottomRight" state="frozen"/>
      <selection pane="topRight" activeCell="G1" sqref="G1"/>
      <selection pane="bottomLeft" activeCell="A10" sqref="A10"/>
      <selection pane="bottomRight" activeCell="G9" sqref="G9"/>
    </sheetView>
  </sheetViews>
  <sheetFormatPr defaultColWidth="0" defaultRowHeight="15" zeroHeight="1" x14ac:dyDescent="0.25"/>
  <cols>
    <col min="1" max="5" width="9.140625" style="3" customWidth="1"/>
    <col min="6" max="6" width="20.7109375" style="3" customWidth="1"/>
    <col min="7" max="7" width="16.7109375" style="3" bestFit="1" customWidth="1"/>
    <col min="8" max="12" width="11.7109375" style="3" customWidth="1"/>
    <col min="13" max="13" width="11" style="3" bestFit="1" customWidth="1"/>
    <col min="14" max="16384" width="9.140625" style="3" hidden="1"/>
  </cols>
  <sheetData>
    <row r="1" spans="2:13" x14ac:dyDescent="0.25"/>
    <row r="2" spans="2:13" x14ac:dyDescent="0.25">
      <c r="M2" s="3" t="s">
        <v>52</v>
      </c>
    </row>
    <row r="3" spans="2:13" x14ac:dyDescent="0.25">
      <c r="G3" s="4" t="s">
        <v>49</v>
      </c>
      <c r="M3" s="32">
        <v>43805</v>
      </c>
    </row>
    <row r="4" spans="2:13" x14ac:dyDescent="0.25"/>
    <row r="5" spans="2:13" x14ac:dyDescent="0.25">
      <c r="G5" s="36" t="s">
        <v>43</v>
      </c>
      <c r="H5" s="37" t="str">
        <f>IF(SUM(G9:G13)=0,"Geen selectie",IF(AND(G9&gt;0,G10&gt;0,G11&gt;0,G12&gt;0,G13&gt;0),"Volledig pakket",IF(AND(J13&lt;5,G9&gt;0),"A","")))</f>
        <v>Geen selectie</v>
      </c>
      <c r="I5" s="35" t="str">
        <f>IF(H5="volledig pakket","",IF(G10&gt;0,"B",""))</f>
        <v/>
      </c>
      <c r="J5" s="35" t="str">
        <f>IF(H5="volledig pakket","",IF(G11&gt;0,"C",""))</f>
        <v/>
      </c>
      <c r="K5" s="35" t="str">
        <f>IF(H5="volledig pakket","",IF(G12&gt;0,"D",""))</f>
        <v/>
      </c>
      <c r="L5" s="35" t="str">
        <f>IF(H5="volledig pakket","",IF(G13&gt;0,"E",""))</f>
        <v/>
      </c>
    </row>
    <row r="6" spans="2:13" x14ac:dyDescent="0.25"/>
    <row r="7" spans="2:13" x14ac:dyDescent="0.25"/>
    <row r="8" spans="2:13" x14ac:dyDescent="0.25">
      <c r="B8" s="31" t="s">
        <v>37</v>
      </c>
      <c r="C8" s="4" t="s">
        <v>0</v>
      </c>
      <c r="G8" s="5" t="s">
        <v>9</v>
      </c>
      <c r="H8" s="5"/>
      <c r="I8" s="33" t="s">
        <v>35</v>
      </c>
      <c r="J8" s="3" t="s">
        <v>26</v>
      </c>
      <c r="L8" s="33" t="s">
        <v>44</v>
      </c>
    </row>
    <row r="9" spans="2:13" x14ac:dyDescent="0.25">
      <c r="B9" s="35" t="s">
        <v>38</v>
      </c>
      <c r="C9" s="6" t="s">
        <v>1</v>
      </c>
      <c r="D9" s="7"/>
      <c r="E9" s="7"/>
      <c r="F9" s="8"/>
      <c r="G9" s="1">
        <v>0</v>
      </c>
      <c r="H9" s="9">
        <f>VLOOKUP(L9,O29:P49,2,TRUE)</f>
        <v>0</v>
      </c>
      <c r="I9" s="9" t="str">
        <f>IF(L9&gt;1,H9/G9,"")</f>
        <v/>
      </c>
      <c r="J9" s="49" t="s">
        <v>1</v>
      </c>
      <c r="K9" s="50"/>
      <c r="L9" s="40">
        <f>IF(G9=0,0,MAX($G$9,$G$10,$G$11,$G$12,$G$13))</f>
        <v>0</v>
      </c>
    </row>
    <row r="10" spans="2:13" x14ac:dyDescent="0.25">
      <c r="B10" s="35" t="s">
        <v>39</v>
      </c>
      <c r="C10" s="6" t="s">
        <v>2</v>
      </c>
      <c r="D10" s="7"/>
      <c r="E10" s="7"/>
      <c r="F10" s="8"/>
      <c r="G10" s="1">
        <v>0</v>
      </c>
      <c r="H10" s="9">
        <f>VLOOKUP(L10,R29:S49,2,TRUE)</f>
        <v>0</v>
      </c>
      <c r="I10" s="9" t="str">
        <f>IF(L10&gt;1,H10/G10,"")</f>
        <v/>
      </c>
      <c r="J10" s="49" t="s">
        <v>2</v>
      </c>
      <c r="K10" s="50"/>
      <c r="L10" s="40">
        <f t="shared" ref="L10:L13" si="0">IF(G10=0,0,MAX($G$9,$G$10,$G$11,$G$12,$G$13))</f>
        <v>0</v>
      </c>
    </row>
    <row r="11" spans="2:13" x14ac:dyDescent="0.25">
      <c r="B11" s="35" t="s">
        <v>40</v>
      </c>
      <c r="C11" s="6" t="s">
        <v>3</v>
      </c>
      <c r="D11" s="7"/>
      <c r="E11" s="7"/>
      <c r="F11" s="8"/>
      <c r="G11" s="1">
        <v>0</v>
      </c>
      <c r="H11" s="9">
        <f>VLOOKUP(L11,U29:V49,2,TRUE)</f>
        <v>0</v>
      </c>
      <c r="I11" s="9" t="str">
        <f>IF(L11&gt;1,H11/G11,"")</f>
        <v/>
      </c>
      <c r="J11" s="49" t="s">
        <v>3</v>
      </c>
      <c r="K11" s="50"/>
      <c r="L11" s="40">
        <f t="shared" si="0"/>
        <v>0</v>
      </c>
    </row>
    <row r="12" spans="2:13" x14ac:dyDescent="0.25">
      <c r="B12" s="35" t="s">
        <v>41</v>
      </c>
      <c r="C12" s="6" t="s">
        <v>4</v>
      </c>
      <c r="D12" s="7"/>
      <c r="E12" s="7"/>
      <c r="F12" s="8"/>
      <c r="G12" s="1">
        <v>0</v>
      </c>
      <c r="H12" s="9">
        <f>VLOOKUP(L12,X29:Y49,2,TRUE)</f>
        <v>0</v>
      </c>
      <c r="I12" s="9" t="str">
        <f>IF(L12&gt;1,H12/G12,"")</f>
        <v/>
      </c>
      <c r="J12" s="49" t="s">
        <v>4</v>
      </c>
      <c r="K12" s="50"/>
      <c r="L12" s="40">
        <f t="shared" si="0"/>
        <v>0</v>
      </c>
    </row>
    <row r="13" spans="2:13" x14ac:dyDescent="0.25">
      <c r="B13" s="35" t="s">
        <v>42</v>
      </c>
      <c r="C13" s="6" t="s">
        <v>5</v>
      </c>
      <c r="D13" s="7"/>
      <c r="E13" s="7"/>
      <c r="F13" s="8"/>
      <c r="G13" s="1">
        <v>0</v>
      </c>
      <c r="H13" s="9">
        <f>VLOOKUP(L13,AA29:AB49,2,TRUE)</f>
        <v>0</v>
      </c>
      <c r="I13" s="9" t="str">
        <f>IF(L13&gt;1,H13/G13,"")</f>
        <v/>
      </c>
      <c r="L13" s="40">
        <f t="shared" si="0"/>
        <v>0</v>
      </c>
    </row>
    <row r="14" spans="2:13" x14ac:dyDescent="0.25">
      <c r="C14" s="6" t="s">
        <v>6</v>
      </c>
      <c r="D14" s="7"/>
      <c r="E14" s="7"/>
      <c r="F14" s="8"/>
      <c r="G14" s="44" t="s">
        <v>11</v>
      </c>
      <c r="H14" s="9">
        <v>0</v>
      </c>
      <c r="L14" s="39" t="s">
        <v>45</v>
      </c>
    </row>
    <row r="15" spans="2:13" x14ac:dyDescent="0.25">
      <c r="C15" s="6" t="s">
        <v>7</v>
      </c>
      <c r="D15" s="7"/>
      <c r="E15" s="7"/>
      <c r="F15" s="8"/>
      <c r="G15" s="44" t="s">
        <v>11</v>
      </c>
      <c r="H15" s="9">
        <v>0</v>
      </c>
      <c r="L15" s="39" t="s">
        <v>46</v>
      </c>
    </row>
    <row r="16" spans="2:13" x14ac:dyDescent="0.25">
      <c r="C16" s="6" t="s">
        <v>51</v>
      </c>
      <c r="D16" s="7"/>
      <c r="E16" s="7"/>
      <c r="F16" s="43" t="str">
        <f>IF(G17="inbegrepen","Inbegrepen","")</f>
        <v/>
      </c>
      <c r="G16" s="1" t="s">
        <v>21</v>
      </c>
      <c r="H16" s="9">
        <f>IF(F16="inbegrepen",0,IF(AND(G16="ja",F16=""),90*MAX(L9,L10,L11,L12,L13),0))</f>
        <v>0</v>
      </c>
      <c r="J16" s="51" t="s">
        <v>51</v>
      </c>
      <c r="K16" s="52"/>
      <c r="L16" s="39"/>
    </row>
    <row r="17" spans="3:29" x14ac:dyDescent="0.25">
      <c r="C17" s="6" t="s">
        <v>28</v>
      </c>
      <c r="D17" s="7"/>
      <c r="E17" s="7"/>
      <c r="F17" s="8"/>
      <c r="G17" s="2" t="str">
        <f>IF(AND(G9&gt;=1,G10&gt;=1,G11&gt;=1,G12&gt;=1,G13&gt;=1),"Inbegrepen","Uitgesloten")</f>
        <v>Uitgesloten</v>
      </c>
      <c r="H17" s="9" t="str">
        <f>IF(G17="inbegrepen",0,"")</f>
        <v/>
      </c>
      <c r="J17" s="51" t="s">
        <v>27</v>
      </c>
      <c r="K17" s="52"/>
    </row>
    <row r="18" spans="3:29" x14ac:dyDescent="0.25">
      <c r="G18" s="10" t="s">
        <v>8</v>
      </c>
      <c r="H18" s="11">
        <f>SUM(H9:H17)</f>
        <v>0</v>
      </c>
      <c r="I18" s="9">
        <f>IFERROR(IF(G18&gt;1,H18/SUM(G9:G13),""),0)</f>
        <v>0</v>
      </c>
      <c r="J18" s="34" t="s">
        <v>36</v>
      </c>
    </row>
    <row r="19" spans="3:29" x14ac:dyDescent="0.25">
      <c r="C19" s="12" t="s">
        <v>23</v>
      </c>
      <c r="D19" s="7"/>
      <c r="E19" s="7"/>
      <c r="F19" s="8"/>
      <c r="G19" s="1" t="s">
        <v>21</v>
      </c>
      <c r="I19" s="13">
        <f>IF(G19="ja",21%,0)</f>
        <v>0</v>
      </c>
    </row>
    <row r="20" spans="3:29" x14ac:dyDescent="0.25">
      <c r="C20" s="12" t="s">
        <v>24</v>
      </c>
      <c r="D20" s="7"/>
      <c r="E20" s="7"/>
      <c r="F20" s="8"/>
      <c r="G20" s="1" t="s">
        <v>21</v>
      </c>
      <c r="I20" s="13">
        <f>IF(G20="ja",21%,0)</f>
        <v>0</v>
      </c>
    </row>
    <row r="21" spans="3:29" x14ac:dyDescent="0.25">
      <c r="C21" s="12" t="s">
        <v>25</v>
      </c>
      <c r="D21" s="7"/>
      <c r="E21" s="7"/>
      <c r="F21" s="8"/>
      <c r="G21" s="1" t="s">
        <v>21</v>
      </c>
      <c r="I21" s="13">
        <f>IF(G21="ja",21%,0)</f>
        <v>0</v>
      </c>
    </row>
    <row r="22" spans="3:29" x14ac:dyDescent="0.25">
      <c r="C22" s="12" t="s">
        <v>48</v>
      </c>
      <c r="D22" s="7"/>
      <c r="E22" s="7"/>
      <c r="F22" s="8"/>
      <c r="G22" s="1" t="s">
        <v>21</v>
      </c>
      <c r="I22" s="13">
        <f>IF(G22="ja",21%,0)</f>
        <v>0</v>
      </c>
    </row>
    <row r="23" spans="3:29" x14ac:dyDescent="0.25">
      <c r="C23" s="12" t="s">
        <v>47</v>
      </c>
      <c r="D23" s="7"/>
      <c r="E23" s="7"/>
      <c r="F23" s="8"/>
      <c r="G23" s="1" t="s">
        <v>21</v>
      </c>
      <c r="I23" s="13">
        <f>IF(G23="ja",21%,0)</f>
        <v>0</v>
      </c>
    </row>
    <row r="24" spans="3:29" x14ac:dyDescent="0.25">
      <c r="C24" s="12" t="s">
        <v>50</v>
      </c>
      <c r="D24" s="7"/>
      <c r="E24" s="7"/>
      <c r="F24" s="8"/>
      <c r="G24" s="14">
        <f>MAX(I19:I23)</f>
        <v>0</v>
      </c>
      <c r="H24" s="29">
        <f>G24*K51</f>
        <v>0</v>
      </c>
      <c r="I24" s="3" t="s">
        <v>32</v>
      </c>
    </row>
    <row r="25" spans="3:29" x14ac:dyDescent="0.25">
      <c r="G25" s="10" t="s">
        <v>8</v>
      </c>
      <c r="H25" s="11">
        <f>H18-H24</f>
        <v>0</v>
      </c>
      <c r="I25" s="9">
        <f>IFERROR(IF(G25&gt;1,H25/SUM(G9:G13),""),0)</f>
        <v>0</v>
      </c>
      <c r="J25" s="34" t="s">
        <v>36</v>
      </c>
    </row>
    <row r="26" spans="3:29" x14ac:dyDescent="0.25">
      <c r="C26" s="46" t="s">
        <v>17</v>
      </c>
      <c r="D26" s="47"/>
      <c r="E26" s="47"/>
      <c r="F26" s="48"/>
      <c r="G26" s="14">
        <v>0.15</v>
      </c>
      <c r="H26" s="29">
        <f>IF(AND(G9&gt;=1,G10&gt;=1,G11&gt;=1,G12&gt;=1,G13&gt;=1),H25*G26,0)</f>
        <v>0</v>
      </c>
      <c r="I26" s="3" t="s">
        <v>29</v>
      </c>
      <c r="L26" s="41"/>
    </row>
    <row r="27" spans="3:29" x14ac:dyDescent="0.25">
      <c r="G27" s="10"/>
      <c r="H27" s="15">
        <f>H25-H26</f>
        <v>0</v>
      </c>
      <c r="I27" s="9" t="str">
        <f>IFERROR(IF(G27&gt;1,H27/SUM(L9:L13),""),0)</f>
        <v/>
      </c>
      <c r="J27" s="34" t="s">
        <v>36</v>
      </c>
    </row>
    <row r="28" spans="3:29" x14ac:dyDescent="0.25">
      <c r="C28" s="3" t="s">
        <v>22</v>
      </c>
      <c r="L28" s="42"/>
      <c r="O28" s="16"/>
      <c r="P28" s="17" t="s">
        <v>15</v>
      </c>
      <c r="Q28" s="18"/>
      <c r="R28" s="16"/>
      <c r="S28" s="17" t="s">
        <v>16</v>
      </c>
      <c r="T28" s="18"/>
      <c r="U28" s="16"/>
      <c r="V28" s="17" t="s">
        <v>18</v>
      </c>
      <c r="W28" s="18"/>
      <c r="X28" s="16"/>
      <c r="Y28" s="17" t="s">
        <v>19</v>
      </c>
      <c r="Z28" s="18"/>
      <c r="AA28" s="16"/>
      <c r="AB28" s="17" t="s">
        <v>20</v>
      </c>
      <c r="AC28" s="18"/>
    </row>
    <row r="29" spans="3:29" x14ac:dyDescent="0.25">
      <c r="O29" s="19">
        <v>0</v>
      </c>
      <c r="P29" s="20"/>
      <c r="Q29" s="21"/>
      <c r="R29" s="19">
        <v>0</v>
      </c>
      <c r="S29" s="20"/>
      <c r="T29" s="21"/>
      <c r="U29" s="19">
        <v>0</v>
      </c>
      <c r="V29" s="20"/>
      <c r="W29" s="21"/>
      <c r="X29" s="19">
        <v>0</v>
      </c>
      <c r="Y29" s="20"/>
      <c r="Z29" s="21"/>
      <c r="AA29" s="19">
        <v>0</v>
      </c>
      <c r="AB29" s="20"/>
      <c r="AC29" s="21"/>
    </row>
    <row r="30" spans="3:29" x14ac:dyDescent="0.25">
      <c r="G30" s="30" t="s">
        <v>31</v>
      </c>
      <c r="J30" s="28" t="s">
        <v>30</v>
      </c>
      <c r="O30" s="19">
        <v>1</v>
      </c>
      <c r="P30" s="22">
        <v>795</v>
      </c>
      <c r="Q30" s="21">
        <f>795*(1-25%)</f>
        <v>596.25</v>
      </c>
      <c r="R30" s="19">
        <v>1</v>
      </c>
      <c r="S30" s="22">
        <f>IF(G9=0,495,295)</f>
        <v>495</v>
      </c>
      <c r="T30" s="21">
        <f>S30*(1-25%)</f>
        <v>371.25</v>
      </c>
      <c r="U30" s="19">
        <v>1</v>
      </c>
      <c r="V30" s="22">
        <f>IF(G9=0,395,195)</f>
        <v>395</v>
      </c>
      <c r="W30" s="21">
        <f>V30*(1-25%)</f>
        <v>296.25</v>
      </c>
      <c r="X30" s="19">
        <v>1</v>
      </c>
      <c r="Y30" s="22">
        <f>IF(G9=0,395,195)</f>
        <v>395</v>
      </c>
      <c r="Z30" s="21">
        <f>Y30*(1-25%)</f>
        <v>296.25</v>
      </c>
      <c r="AA30" s="19">
        <v>1</v>
      </c>
      <c r="AB30" s="22">
        <f>IF(G9=0,395,195)</f>
        <v>395</v>
      </c>
      <c r="AC30" s="21">
        <f>AB30*(1-25%)</f>
        <v>296.25</v>
      </c>
    </row>
    <row r="31" spans="3:29" x14ac:dyDescent="0.25">
      <c r="O31" s="19">
        <f>O30+1</f>
        <v>2</v>
      </c>
      <c r="P31" s="22">
        <f>($P$30+($Q$30*O30))</f>
        <v>1391.25</v>
      </c>
      <c r="Q31" s="21"/>
      <c r="R31" s="19">
        <f>R30+1</f>
        <v>2</v>
      </c>
      <c r="S31" s="22">
        <f>($S$30+($T$30*R30))</f>
        <v>866.25</v>
      </c>
      <c r="T31" s="21"/>
      <c r="U31" s="19">
        <f>U30+1</f>
        <v>2</v>
      </c>
      <c r="V31" s="22">
        <f>($V$30+($W$30*U30))</f>
        <v>691.25</v>
      </c>
      <c r="W31" s="21"/>
      <c r="X31" s="19">
        <f>X30+1</f>
        <v>2</v>
      </c>
      <c r="Y31" s="22">
        <f>($Y$30+($Z$30*X30))</f>
        <v>691.25</v>
      </c>
      <c r="Z31" s="21"/>
      <c r="AA31" s="19">
        <f>AA30+1</f>
        <v>2</v>
      </c>
      <c r="AB31" s="22">
        <f>($AB$30+($AC$30*AA30))</f>
        <v>691.25</v>
      </c>
      <c r="AC31" s="21"/>
    </row>
    <row r="32" spans="3:29" x14ac:dyDescent="0.25">
      <c r="O32" s="19">
        <f t="shared" ref="O32:O48" si="1">O31+1</f>
        <v>3</v>
      </c>
      <c r="P32" s="22">
        <f>($P$30+($Q$30*O31))</f>
        <v>1987.5</v>
      </c>
      <c r="Q32" s="21"/>
      <c r="R32" s="19">
        <f t="shared" ref="R32:R48" si="2">R31+1</f>
        <v>3</v>
      </c>
      <c r="S32" s="22">
        <f t="shared" ref="S32:S48" si="3">($S$30+($T$30*R31))</f>
        <v>1237.5</v>
      </c>
      <c r="T32" s="21"/>
      <c r="U32" s="19">
        <f t="shared" ref="U32:U48" si="4">U31+1</f>
        <v>3</v>
      </c>
      <c r="V32" s="22">
        <f t="shared" ref="V32:V48" si="5">($V$30+($W$30*U31))</f>
        <v>987.5</v>
      </c>
      <c r="W32" s="21"/>
      <c r="X32" s="19">
        <f t="shared" ref="X32:X48" si="6">X31+1</f>
        <v>3</v>
      </c>
      <c r="Y32" s="22">
        <f t="shared" ref="Y32:Y48" si="7">($Y$30+($Z$30*X31))</f>
        <v>987.5</v>
      </c>
      <c r="Z32" s="21"/>
      <c r="AA32" s="19">
        <f t="shared" ref="AA32:AA48" si="8">AA31+1</f>
        <v>3</v>
      </c>
      <c r="AB32" s="22">
        <f t="shared" ref="AB32:AB48" si="9">($AB$30+($AC$30*AA31))</f>
        <v>987.5</v>
      </c>
      <c r="AC32" s="21"/>
    </row>
    <row r="33" spans="1:29" x14ac:dyDescent="0.25">
      <c r="O33" s="19">
        <f t="shared" si="1"/>
        <v>4</v>
      </c>
      <c r="P33" s="22">
        <f t="shared" ref="P33:P48" si="10">($P$30+($Q$30*O32))</f>
        <v>2583.75</v>
      </c>
      <c r="Q33" s="23"/>
      <c r="R33" s="19">
        <f t="shared" si="2"/>
        <v>4</v>
      </c>
      <c r="S33" s="22">
        <f t="shared" si="3"/>
        <v>1608.75</v>
      </c>
      <c r="T33" s="23"/>
      <c r="U33" s="19">
        <f t="shared" si="4"/>
        <v>4</v>
      </c>
      <c r="V33" s="22">
        <f t="shared" si="5"/>
        <v>1283.75</v>
      </c>
      <c r="W33" s="23"/>
      <c r="X33" s="19">
        <f t="shared" si="6"/>
        <v>4</v>
      </c>
      <c r="Y33" s="22">
        <f t="shared" si="7"/>
        <v>1283.75</v>
      </c>
      <c r="Z33" s="23"/>
      <c r="AA33" s="19">
        <f t="shared" si="8"/>
        <v>4</v>
      </c>
      <c r="AB33" s="22">
        <f t="shared" si="9"/>
        <v>1283.75</v>
      </c>
      <c r="AC33" s="23"/>
    </row>
    <row r="34" spans="1:29" x14ac:dyDescent="0.25">
      <c r="O34" s="19">
        <f t="shared" si="1"/>
        <v>5</v>
      </c>
      <c r="P34" s="22">
        <f t="shared" si="10"/>
        <v>3180</v>
      </c>
      <c r="Q34" s="21"/>
      <c r="R34" s="19">
        <f t="shared" si="2"/>
        <v>5</v>
      </c>
      <c r="S34" s="22">
        <f t="shared" si="3"/>
        <v>1980</v>
      </c>
      <c r="T34" s="21"/>
      <c r="U34" s="19">
        <f t="shared" si="4"/>
        <v>5</v>
      </c>
      <c r="V34" s="22">
        <f t="shared" si="5"/>
        <v>1580</v>
      </c>
      <c r="W34" s="21"/>
      <c r="X34" s="19">
        <f t="shared" si="6"/>
        <v>5</v>
      </c>
      <c r="Y34" s="22">
        <f t="shared" si="7"/>
        <v>1580</v>
      </c>
      <c r="Z34" s="21"/>
      <c r="AA34" s="19">
        <f t="shared" si="8"/>
        <v>5</v>
      </c>
      <c r="AB34" s="22">
        <f t="shared" si="9"/>
        <v>1580</v>
      </c>
      <c r="AC34" s="21"/>
    </row>
    <row r="35" spans="1:29" hidden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45" t="s">
        <v>10</v>
      </c>
      <c r="K35" s="45"/>
      <c r="L35" s="45" t="s">
        <v>14</v>
      </c>
      <c r="M35" s="45"/>
      <c r="O35" s="19">
        <f t="shared" si="1"/>
        <v>6</v>
      </c>
      <c r="P35" s="22">
        <f t="shared" si="10"/>
        <v>3776.25</v>
      </c>
      <c r="Q35" s="21"/>
      <c r="R35" s="19">
        <f t="shared" si="2"/>
        <v>6</v>
      </c>
      <c r="S35" s="22">
        <f t="shared" si="3"/>
        <v>2351.25</v>
      </c>
      <c r="T35" s="21"/>
      <c r="U35" s="19">
        <f t="shared" si="4"/>
        <v>6</v>
      </c>
      <c r="V35" s="22">
        <f t="shared" si="5"/>
        <v>1876.25</v>
      </c>
      <c r="W35" s="21"/>
      <c r="X35" s="19">
        <f t="shared" si="6"/>
        <v>6</v>
      </c>
      <c r="Y35" s="22">
        <f t="shared" si="7"/>
        <v>1876.25</v>
      </c>
      <c r="Z35" s="21"/>
      <c r="AA35" s="19">
        <f t="shared" si="8"/>
        <v>6</v>
      </c>
      <c r="AB35" s="22">
        <f t="shared" si="9"/>
        <v>1876.25</v>
      </c>
      <c r="AC35" s="21"/>
    </row>
    <row r="36" spans="1:29" hidden="1" x14ac:dyDescent="0.25">
      <c r="J36" s="3" t="s">
        <v>12</v>
      </c>
      <c r="K36" s="3" t="s">
        <v>13</v>
      </c>
      <c r="L36" s="3" t="s">
        <v>12</v>
      </c>
      <c r="M36" s="3" t="s">
        <v>13</v>
      </c>
      <c r="O36" s="19">
        <f t="shared" si="1"/>
        <v>7</v>
      </c>
      <c r="P36" s="22">
        <f t="shared" si="10"/>
        <v>4372.5</v>
      </c>
      <c r="Q36" s="21"/>
      <c r="R36" s="19">
        <f t="shared" si="2"/>
        <v>7</v>
      </c>
      <c r="S36" s="22">
        <f t="shared" si="3"/>
        <v>2722.5</v>
      </c>
      <c r="T36" s="21"/>
      <c r="U36" s="19">
        <f t="shared" si="4"/>
        <v>7</v>
      </c>
      <c r="V36" s="22">
        <f t="shared" si="5"/>
        <v>2172.5</v>
      </c>
      <c r="W36" s="21"/>
      <c r="X36" s="19">
        <f t="shared" si="6"/>
        <v>7</v>
      </c>
      <c r="Y36" s="22">
        <f t="shared" si="7"/>
        <v>2172.5</v>
      </c>
      <c r="Z36" s="21"/>
      <c r="AA36" s="19">
        <f t="shared" si="8"/>
        <v>7</v>
      </c>
      <c r="AB36" s="22">
        <f t="shared" si="9"/>
        <v>2172.5</v>
      </c>
      <c r="AC36" s="21"/>
    </row>
    <row r="37" spans="1:29" hidden="1" x14ac:dyDescent="0.25">
      <c r="I37" s="3" t="s">
        <v>38</v>
      </c>
      <c r="J37" s="24">
        <v>795</v>
      </c>
      <c r="K37" s="24">
        <f>J37*(1-25%)</f>
        <v>596.25</v>
      </c>
      <c r="L37" s="24">
        <v>795</v>
      </c>
      <c r="M37" s="24">
        <f>L37*(1-25%)</f>
        <v>596.25</v>
      </c>
      <c r="O37" s="19">
        <f t="shared" si="1"/>
        <v>8</v>
      </c>
      <c r="P37" s="22">
        <f t="shared" si="10"/>
        <v>4968.75</v>
      </c>
      <c r="Q37" s="21"/>
      <c r="R37" s="19">
        <f t="shared" si="2"/>
        <v>8</v>
      </c>
      <c r="S37" s="22">
        <f t="shared" si="3"/>
        <v>3093.75</v>
      </c>
      <c r="T37" s="21"/>
      <c r="U37" s="19">
        <f t="shared" si="4"/>
        <v>8</v>
      </c>
      <c r="V37" s="22">
        <f t="shared" si="5"/>
        <v>2468.75</v>
      </c>
      <c r="W37" s="21"/>
      <c r="X37" s="19">
        <f t="shared" si="6"/>
        <v>8</v>
      </c>
      <c r="Y37" s="22">
        <f t="shared" si="7"/>
        <v>2468.75</v>
      </c>
      <c r="Z37" s="21"/>
      <c r="AA37" s="19">
        <f t="shared" si="8"/>
        <v>8</v>
      </c>
      <c r="AB37" s="22">
        <f t="shared" si="9"/>
        <v>2468.75</v>
      </c>
      <c r="AC37" s="21"/>
    </row>
    <row r="38" spans="1:29" hidden="1" x14ac:dyDescent="0.25">
      <c r="I38" s="3" t="s">
        <v>39</v>
      </c>
      <c r="J38" s="24">
        <v>295</v>
      </c>
      <c r="K38" s="24">
        <f>J38*(1-25%)</f>
        <v>221.25</v>
      </c>
      <c r="L38" s="24">
        <v>495</v>
      </c>
      <c r="M38" s="24">
        <f>L38*(1-25%)</f>
        <v>371.25</v>
      </c>
      <c r="O38" s="19">
        <f t="shared" si="1"/>
        <v>9</v>
      </c>
      <c r="P38" s="22">
        <f t="shared" si="10"/>
        <v>5565</v>
      </c>
      <c r="Q38" s="21"/>
      <c r="R38" s="19">
        <f t="shared" si="2"/>
        <v>9</v>
      </c>
      <c r="S38" s="22">
        <f t="shared" si="3"/>
        <v>3465</v>
      </c>
      <c r="T38" s="21"/>
      <c r="U38" s="19">
        <f t="shared" si="4"/>
        <v>9</v>
      </c>
      <c r="V38" s="22">
        <f t="shared" si="5"/>
        <v>2765</v>
      </c>
      <c r="W38" s="21"/>
      <c r="X38" s="19">
        <f t="shared" si="6"/>
        <v>9</v>
      </c>
      <c r="Y38" s="22">
        <f t="shared" si="7"/>
        <v>2765</v>
      </c>
      <c r="Z38" s="21"/>
      <c r="AA38" s="19">
        <f t="shared" si="8"/>
        <v>9</v>
      </c>
      <c r="AB38" s="22">
        <f t="shared" si="9"/>
        <v>2765</v>
      </c>
      <c r="AC38" s="21"/>
    </row>
    <row r="39" spans="1:29" hidden="1" x14ac:dyDescent="0.25">
      <c r="I39" s="3" t="s">
        <v>40</v>
      </c>
      <c r="J39" s="24">
        <v>195</v>
      </c>
      <c r="K39" s="24">
        <f>J39*(1-25%)</f>
        <v>146.25</v>
      </c>
      <c r="L39" s="24">
        <v>395</v>
      </c>
      <c r="M39" s="24">
        <f>L39*(1-25%)</f>
        <v>296.25</v>
      </c>
      <c r="O39" s="19">
        <f t="shared" si="1"/>
        <v>10</v>
      </c>
      <c r="P39" s="22">
        <f t="shared" si="10"/>
        <v>6161.25</v>
      </c>
      <c r="Q39" s="21"/>
      <c r="R39" s="19">
        <f t="shared" si="2"/>
        <v>10</v>
      </c>
      <c r="S39" s="22">
        <f t="shared" si="3"/>
        <v>3836.25</v>
      </c>
      <c r="T39" s="21"/>
      <c r="U39" s="19">
        <f t="shared" si="4"/>
        <v>10</v>
      </c>
      <c r="V39" s="22">
        <f t="shared" si="5"/>
        <v>3061.25</v>
      </c>
      <c r="W39" s="21"/>
      <c r="X39" s="19">
        <f t="shared" si="6"/>
        <v>10</v>
      </c>
      <c r="Y39" s="22">
        <f t="shared" si="7"/>
        <v>3061.25</v>
      </c>
      <c r="Z39" s="21"/>
      <c r="AA39" s="19">
        <f t="shared" si="8"/>
        <v>10</v>
      </c>
      <c r="AB39" s="22">
        <f t="shared" si="9"/>
        <v>3061.25</v>
      </c>
      <c r="AC39" s="21"/>
    </row>
    <row r="40" spans="1:29" hidden="1" x14ac:dyDescent="0.25">
      <c r="I40" s="3" t="s">
        <v>41</v>
      </c>
      <c r="J40" s="24">
        <v>195</v>
      </c>
      <c r="K40" s="24">
        <f>J40*(1-25%)</f>
        <v>146.25</v>
      </c>
      <c r="L40" s="24">
        <v>395</v>
      </c>
      <c r="M40" s="24">
        <f>L40*(1-25%)</f>
        <v>296.25</v>
      </c>
      <c r="O40" s="19">
        <f t="shared" si="1"/>
        <v>11</v>
      </c>
      <c r="P40" s="22">
        <f t="shared" si="10"/>
        <v>6757.5</v>
      </c>
      <c r="Q40" s="21"/>
      <c r="R40" s="19">
        <f t="shared" si="2"/>
        <v>11</v>
      </c>
      <c r="S40" s="22">
        <f t="shared" si="3"/>
        <v>4207.5</v>
      </c>
      <c r="T40" s="21"/>
      <c r="U40" s="19">
        <f t="shared" si="4"/>
        <v>11</v>
      </c>
      <c r="V40" s="22">
        <f t="shared" si="5"/>
        <v>3357.5</v>
      </c>
      <c r="W40" s="21"/>
      <c r="X40" s="19">
        <f t="shared" si="6"/>
        <v>11</v>
      </c>
      <c r="Y40" s="22">
        <f t="shared" si="7"/>
        <v>3357.5</v>
      </c>
      <c r="Z40" s="21"/>
      <c r="AA40" s="19">
        <f t="shared" si="8"/>
        <v>11</v>
      </c>
      <c r="AB40" s="22">
        <f t="shared" si="9"/>
        <v>3357.5</v>
      </c>
      <c r="AC40" s="21"/>
    </row>
    <row r="41" spans="1:29" hidden="1" x14ac:dyDescent="0.25">
      <c r="I41" s="3" t="s">
        <v>42</v>
      </c>
      <c r="J41" s="24">
        <v>195</v>
      </c>
      <c r="K41" s="24">
        <f>J41*(1-25%)</f>
        <v>146.25</v>
      </c>
      <c r="L41" s="24">
        <v>395</v>
      </c>
      <c r="M41" s="24">
        <f>L41*(1-25%)</f>
        <v>296.25</v>
      </c>
      <c r="O41" s="19">
        <f t="shared" si="1"/>
        <v>12</v>
      </c>
      <c r="P41" s="22">
        <f t="shared" si="10"/>
        <v>7353.75</v>
      </c>
      <c r="Q41" s="21"/>
      <c r="R41" s="19">
        <f t="shared" si="2"/>
        <v>12</v>
      </c>
      <c r="S41" s="22">
        <f t="shared" si="3"/>
        <v>4578.75</v>
      </c>
      <c r="T41" s="21"/>
      <c r="U41" s="19">
        <f t="shared" si="4"/>
        <v>12</v>
      </c>
      <c r="V41" s="22">
        <f t="shared" si="5"/>
        <v>3653.75</v>
      </c>
      <c r="W41" s="21"/>
      <c r="X41" s="19">
        <f t="shared" si="6"/>
        <v>12</v>
      </c>
      <c r="Y41" s="22">
        <f t="shared" si="7"/>
        <v>3653.75</v>
      </c>
      <c r="Z41" s="21"/>
      <c r="AA41" s="19">
        <f t="shared" si="8"/>
        <v>12</v>
      </c>
      <c r="AB41" s="22">
        <f t="shared" si="9"/>
        <v>3653.75</v>
      </c>
      <c r="AC41" s="21"/>
    </row>
    <row r="42" spans="1:29" hidden="1" x14ac:dyDescent="0.25">
      <c r="O42" s="19">
        <f t="shared" si="1"/>
        <v>13</v>
      </c>
      <c r="P42" s="22">
        <f t="shared" si="10"/>
        <v>7950</v>
      </c>
      <c r="Q42" s="21"/>
      <c r="R42" s="19">
        <f t="shared" si="2"/>
        <v>13</v>
      </c>
      <c r="S42" s="22">
        <f t="shared" si="3"/>
        <v>4950</v>
      </c>
      <c r="T42" s="21"/>
      <c r="U42" s="19">
        <f t="shared" si="4"/>
        <v>13</v>
      </c>
      <c r="V42" s="22">
        <f t="shared" si="5"/>
        <v>3950</v>
      </c>
      <c r="W42" s="21"/>
      <c r="X42" s="19">
        <f t="shared" si="6"/>
        <v>13</v>
      </c>
      <c r="Y42" s="22">
        <f t="shared" si="7"/>
        <v>3950</v>
      </c>
      <c r="Z42" s="21"/>
      <c r="AA42" s="19">
        <f t="shared" si="8"/>
        <v>13</v>
      </c>
      <c r="AB42" s="22">
        <f t="shared" si="9"/>
        <v>3950</v>
      </c>
      <c r="AC42" s="21"/>
    </row>
    <row r="43" spans="1:29" hidden="1" x14ac:dyDescent="0.25">
      <c r="O43" s="19">
        <f t="shared" si="1"/>
        <v>14</v>
      </c>
      <c r="P43" s="22">
        <f t="shared" si="10"/>
        <v>8546.25</v>
      </c>
      <c r="Q43" s="21"/>
      <c r="R43" s="19">
        <f t="shared" si="2"/>
        <v>14</v>
      </c>
      <c r="S43" s="22">
        <f t="shared" si="3"/>
        <v>5321.25</v>
      </c>
      <c r="T43" s="21"/>
      <c r="U43" s="19">
        <f t="shared" si="4"/>
        <v>14</v>
      </c>
      <c r="V43" s="22">
        <f t="shared" si="5"/>
        <v>4246.25</v>
      </c>
      <c r="W43" s="21"/>
      <c r="X43" s="19">
        <f t="shared" si="6"/>
        <v>14</v>
      </c>
      <c r="Y43" s="22">
        <f t="shared" si="7"/>
        <v>4246.25</v>
      </c>
      <c r="Z43" s="21"/>
      <c r="AA43" s="19">
        <f t="shared" si="8"/>
        <v>14</v>
      </c>
      <c r="AB43" s="22">
        <f t="shared" si="9"/>
        <v>4246.25</v>
      </c>
      <c r="AC43" s="21"/>
    </row>
    <row r="44" spans="1:29" hidden="1" x14ac:dyDescent="0.25">
      <c r="G44" s="3" t="s">
        <v>33</v>
      </c>
      <c r="O44" s="19">
        <f t="shared" si="1"/>
        <v>15</v>
      </c>
      <c r="P44" s="22">
        <f t="shared" si="10"/>
        <v>9142.5</v>
      </c>
      <c r="Q44" s="21"/>
      <c r="R44" s="19">
        <f t="shared" si="2"/>
        <v>15</v>
      </c>
      <c r="S44" s="22">
        <f t="shared" si="3"/>
        <v>5692.5</v>
      </c>
      <c r="T44" s="21"/>
      <c r="U44" s="19">
        <f t="shared" si="4"/>
        <v>15</v>
      </c>
      <c r="V44" s="22">
        <f t="shared" si="5"/>
        <v>4542.5</v>
      </c>
      <c r="W44" s="21"/>
      <c r="X44" s="19">
        <f t="shared" si="6"/>
        <v>15</v>
      </c>
      <c r="Y44" s="22">
        <f t="shared" si="7"/>
        <v>4542.5</v>
      </c>
      <c r="Z44" s="21"/>
      <c r="AA44" s="19">
        <f t="shared" si="8"/>
        <v>15</v>
      </c>
      <c r="AB44" s="22">
        <f t="shared" si="9"/>
        <v>4542.5</v>
      </c>
      <c r="AC44" s="21"/>
    </row>
    <row r="45" spans="1:29" hidden="1" x14ac:dyDescent="0.25">
      <c r="G45" s="6" t="s">
        <v>1</v>
      </c>
      <c r="H45" s="7"/>
      <c r="I45" s="7"/>
      <c r="J45" s="8"/>
      <c r="K45" s="3">
        <f>IF(G9&gt;=1,J37,0)</f>
        <v>0</v>
      </c>
      <c r="O45" s="19">
        <f t="shared" si="1"/>
        <v>16</v>
      </c>
      <c r="P45" s="22">
        <f t="shared" si="10"/>
        <v>9738.75</v>
      </c>
      <c r="Q45" s="21"/>
      <c r="R45" s="19">
        <f t="shared" si="2"/>
        <v>16</v>
      </c>
      <c r="S45" s="22">
        <f t="shared" si="3"/>
        <v>6063.75</v>
      </c>
      <c r="T45" s="21"/>
      <c r="U45" s="19">
        <f t="shared" si="4"/>
        <v>16</v>
      </c>
      <c r="V45" s="22">
        <f t="shared" si="5"/>
        <v>4838.75</v>
      </c>
      <c r="W45" s="21"/>
      <c r="X45" s="19">
        <f t="shared" si="6"/>
        <v>16</v>
      </c>
      <c r="Y45" s="22">
        <f t="shared" si="7"/>
        <v>4838.75</v>
      </c>
      <c r="Z45" s="21"/>
      <c r="AA45" s="19">
        <f t="shared" si="8"/>
        <v>16</v>
      </c>
      <c r="AB45" s="22">
        <f t="shared" si="9"/>
        <v>4838.75</v>
      </c>
      <c r="AC45" s="21"/>
    </row>
    <row r="46" spans="1:29" hidden="1" x14ac:dyDescent="0.25">
      <c r="G46" s="6" t="s">
        <v>2</v>
      </c>
      <c r="H46" s="7"/>
      <c r="I46" s="7"/>
      <c r="J46" s="8"/>
      <c r="K46" s="3">
        <f>IF(G10&gt;=1,IF($G$9=0,L38,J38),0)</f>
        <v>0</v>
      </c>
      <c r="O46" s="19">
        <f t="shared" si="1"/>
        <v>17</v>
      </c>
      <c r="P46" s="22">
        <f t="shared" si="10"/>
        <v>10335</v>
      </c>
      <c r="Q46" s="21"/>
      <c r="R46" s="19">
        <f t="shared" si="2"/>
        <v>17</v>
      </c>
      <c r="S46" s="22">
        <f t="shared" si="3"/>
        <v>6435</v>
      </c>
      <c r="T46" s="21"/>
      <c r="U46" s="19">
        <f t="shared" si="4"/>
        <v>17</v>
      </c>
      <c r="V46" s="22">
        <f t="shared" si="5"/>
        <v>5135</v>
      </c>
      <c r="W46" s="21"/>
      <c r="X46" s="19">
        <f t="shared" si="6"/>
        <v>17</v>
      </c>
      <c r="Y46" s="22">
        <f t="shared" si="7"/>
        <v>5135</v>
      </c>
      <c r="Z46" s="21"/>
      <c r="AA46" s="19">
        <f t="shared" si="8"/>
        <v>17</v>
      </c>
      <c r="AB46" s="22">
        <f t="shared" si="9"/>
        <v>5135</v>
      </c>
      <c r="AC46" s="21"/>
    </row>
    <row r="47" spans="1:29" hidden="1" x14ac:dyDescent="0.25">
      <c r="G47" s="6" t="s">
        <v>3</v>
      </c>
      <c r="H47" s="7"/>
      <c r="I47" s="7"/>
      <c r="J47" s="8"/>
      <c r="K47" s="3">
        <f>IF(G11&gt;=1,IF($G$9=0,L39,J39),0)</f>
        <v>0</v>
      </c>
      <c r="O47" s="19">
        <f t="shared" si="1"/>
        <v>18</v>
      </c>
      <c r="P47" s="22">
        <f t="shared" si="10"/>
        <v>10931.25</v>
      </c>
      <c r="Q47" s="21"/>
      <c r="R47" s="19">
        <f t="shared" si="2"/>
        <v>18</v>
      </c>
      <c r="S47" s="22">
        <f t="shared" si="3"/>
        <v>6806.25</v>
      </c>
      <c r="T47" s="21"/>
      <c r="U47" s="19">
        <f t="shared" si="4"/>
        <v>18</v>
      </c>
      <c r="V47" s="22">
        <f t="shared" si="5"/>
        <v>5431.25</v>
      </c>
      <c r="W47" s="21"/>
      <c r="X47" s="19">
        <f t="shared" si="6"/>
        <v>18</v>
      </c>
      <c r="Y47" s="22">
        <f t="shared" si="7"/>
        <v>5431.25</v>
      </c>
      <c r="Z47" s="21"/>
      <c r="AA47" s="19">
        <f t="shared" si="8"/>
        <v>18</v>
      </c>
      <c r="AB47" s="22">
        <f t="shared" si="9"/>
        <v>5431.25</v>
      </c>
      <c r="AC47" s="21"/>
    </row>
    <row r="48" spans="1:29" hidden="1" x14ac:dyDescent="0.25">
      <c r="G48" s="6" t="s">
        <v>4</v>
      </c>
      <c r="H48" s="7"/>
      <c r="I48" s="7"/>
      <c r="J48" s="8"/>
      <c r="K48" s="3">
        <f>IF(G12&gt;=1,IF($G$9=0,L40,J40),0)</f>
        <v>0</v>
      </c>
      <c r="O48" s="19">
        <f t="shared" si="1"/>
        <v>19</v>
      </c>
      <c r="P48" s="22">
        <f t="shared" si="10"/>
        <v>11527.5</v>
      </c>
      <c r="Q48" s="21"/>
      <c r="R48" s="19">
        <f t="shared" si="2"/>
        <v>19</v>
      </c>
      <c r="S48" s="22">
        <f t="shared" si="3"/>
        <v>7177.5</v>
      </c>
      <c r="T48" s="21"/>
      <c r="U48" s="19">
        <f t="shared" si="4"/>
        <v>19</v>
      </c>
      <c r="V48" s="22">
        <f t="shared" si="5"/>
        <v>5727.5</v>
      </c>
      <c r="W48" s="21"/>
      <c r="X48" s="19">
        <f t="shared" si="6"/>
        <v>19</v>
      </c>
      <c r="Y48" s="22">
        <f t="shared" si="7"/>
        <v>5727.5</v>
      </c>
      <c r="Z48" s="21"/>
      <c r="AA48" s="19">
        <f t="shared" si="8"/>
        <v>19</v>
      </c>
      <c r="AB48" s="22">
        <f t="shared" si="9"/>
        <v>5727.5</v>
      </c>
      <c r="AC48" s="21"/>
    </row>
    <row r="49" spans="1:29" hidden="1" x14ac:dyDescent="0.25">
      <c r="G49" s="6" t="s">
        <v>20</v>
      </c>
      <c r="H49" s="7"/>
      <c r="I49" s="7"/>
      <c r="J49" s="8"/>
      <c r="K49" s="3">
        <f>IF(G13&gt;=1,IF($G$9=0,L41,J41),0)</f>
        <v>0</v>
      </c>
      <c r="O49" s="25">
        <f>O48+1</f>
        <v>20</v>
      </c>
      <c r="P49" s="26">
        <f>($P$30+($Q$30*O48))</f>
        <v>12123.75</v>
      </c>
      <c r="Q49" s="27"/>
      <c r="R49" s="25">
        <f>R48+1</f>
        <v>20</v>
      </c>
      <c r="S49" s="26">
        <f>($S$30+($T$30*R48))</f>
        <v>7548.75</v>
      </c>
      <c r="T49" s="27"/>
      <c r="U49" s="25">
        <f>U48+1</f>
        <v>20</v>
      </c>
      <c r="V49" s="26">
        <f>($V$30+($W$30*U48))</f>
        <v>6023.75</v>
      </c>
      <c r="W49" s="27"/>
      <c r="X49" s="25">
        <f>X48+1</f>
        <v>20</v>
      </c>
      <c r="Y49" s="26">
        <f>($Y$30+($Z$30*X48))</f>
        <v>6023.75</v>
      </c>
      <c r="Z49" s="27"/>
      <c r="AA49" s="25">
        <f>AA48+1</f>
        <v>20</v>
      </c>
      <c r="AB49" s="22">
        <f>($AB$30+($AC$30*AA48))</f>
        <v>6023.75</v>
      </c>
      <c r="AC49" s="21"/>
    </row>
    <row r="50" spans="1:29" hidden="1" x14ac:dyDescent="0.25">
      <c r="G50" s="6" t="s">
        <v>51</v>
      </c>
      <c r="H50" s="7"/>
      <c r="I50" s="7"/>
      <c r="J50" s="8"/>
      <c r="K50" s="3">
        <f>H16</f>
        <v>0</v>
      </c>
      <c r="O50" s="20"/>
      <c r="P50" s="22"/>
      <c r="Q50" s="20"/>
      <c r="R50" s="20"/>
      <c r="S50" s="22"/>
      <c r="T50" s="20"/>
      <c r="U50" s="20"/>
      <c r="V50" s="22"/>
      <c r="W50" s="20"/>
      <c r="X50" s="20"/>
      <c r="Y50" s="22"/>
      <c r="Z50" s="20"/>
      <c r="AA50" s="20"/>
      <c r="AB50" s="22"/>
      <c r="AC50" s="21"/>
    </row>
    <row r="51" spans="1:29" hidden="1" x14ac:dyDescent="0.25">
      <c r="J51" s="3" t="s">
        <v>34</v>
      </c>
      <c r="K51" s="3">
        <f>SUM(K45:K50)</f>
        <v>0</v>
      </c>
      <c r="AC51" s="27"/>
    </row>
    <row r="52" spans="1:29" hidden="1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</sheetData>
  <sheetProtection algorithmName="SHA-512" hashValue="JIhC/URspmfLI9DeznIxn2FDw6XTVP9Lt0kcE9qQzHAkejyboc8H76GaldidsjdnCGcXwHYpxkiKKHobWp9fJQ==" saltValue="MdtgIL9GN5O0Hu9OVnFuuA==" spinCount="100000" sheet="1" objects="1" scenarios="1"/>
  <mergeCells count="9">
    <mergeCell ref="J35:K35"/>
    <mergeCell ref="L35:M35"/>
    <mergeCell ref="C26:F26"/>
    <mergeCell ref="J9:K9"/>
    <mergeCell ref="J10:K10"/>
    <mergeCell ref="J11:K11"/>
    <mergeCell ref="J12:K12"/>
    <mergeCell ref="J16:K16"/>
    <mergeCell ref="J17:K17"/>
  </mergeCells>
  <conditionalFormatting sqref="G17">
    <cfRule type="containsText" dxfId="17" priority="28" operator="containsText" text="Uitgesloten">
      <formula>NOT(ISERROR(SEARCH("Uitgesloten",G17)))</formula>
    </cfRule>
    <cfRule type="containsText" dxfId="16" priority="29" operator="containsText" text="Inbegrepen">
      <formula>NOT(ISERROR(SEARCH("Inbegrepen",G17)))</formula>
    </cfRule>
  </conditionalFormatting>
  <conditionalFormatting sqref="C26:F26">
    <cfRule type="expression" dxfId="15" priority="27">
      <formula>$G$17="Inbegrepen"</formula>
    </cfRule>
  </conditionalFormatting>
  <conditionalFormatting sqref="H5">
    <cfRule type="expression" dxfId="14" priority="8">
      <formula>$H$5="volledig pakket"</formula>
    </cfRule>
    <cfRule type="notContainsBlanks" dxfId="13" priority="26">
      <formula>LEN(TRIM(H5))&gt;0</formula>
    </cfRule>
  </conditionalFormatting>
  <conditionalFormatting sqref="I5">
    <cfRule type="expression" dxfId="12" priority="15">
      <formula>$H$5="volledig pakket"</formula>
    </cfRule>
    <cfRule type="notContainsBlanks" dxfId="11" priority="25">
      <formula>LEN(TRIM(I5))&gt;0</formula>
    </cfRule>
  </conditionalFormatting>
  <conditionalFormatting sqref="J5">
    <cfRule type="expression" dxfId="10" priority="13">
      <formula>$H$5="volledig pakket"</formula>
    </cfRule>
    <cfRule type="notContainsBlanks" dxfId="9" priority="14">
      <formula>LEN(TRIM(J5))&gt;0</formula>
    </cfRule>
  </conditionalFormatting>
  <conditionalFormatting sqref="K5">
    <cfRule type="expression" dxfId="8" priority="11">
      <formula>$H$5="volledig pakket"</formula>
    </cfRule>
    <cfRule type="notContainsBlanks" dxfId="7" priority="12">
      <formula>LEN(TRIM(K5))&gt;0</formula>
    </cfRule>
  </conditionalFormatting>
  <conditionalFormatting sqref="L5">
    <cfRule type="expression" dxfId="6" priority="9">
      <formula>$H$5="volledig pakket"</formula>
    </cfRule>
    <cfRule type="notContainsBlanks" dxfId="5" priority="10">
      <formula>LEN(TRIM(L5))&gt;0</formula>
    </cfRule>
  </conditionalFormatting>
  <conditionalFormatting sqref="B9">
    <cfRule type="expression" dxfId="4" priority="7">
      <formula>G9&gt;0</formula>
    </cfRule>
  </conditionalFormatting>
  <conditionalFormatting sqref="B10:B13">
    <cfRule type="expression" dxfId="3" priority="6">
      <formula>G10&gt;0</formula>
    </cfRule>
  </conditionalFormatting>
  <conditionalFormatting sqref="L9:L13">
    <cfRule type="expression" dxfId="2" priority="5">
      <formula>G9&lt;L9</formula>
    </cfRule>
  </conditionalFormatting>
  <conditionalFormatting sqref="F16">
    <cfRule type="containsText" dxfId="1" priority="1" operator="containsText" text="Uitgesloten">
      <formula>NOT(ISERROR(SEARCH("Uitgesloten",F16)))</formula>
    </cfRule>
    <cfRule type="containsText" dxfId="0" priority="2" operator="containsText" text="Inbegrepen">
      <formula>NOT(ISERROR(SEARCH("Inbegrepen",F16)))</formula>
    </cfRule>
  </conditionalFormatting>
  <dataValidations count="3">
    <dataValidation type="list" allowBlank="1" showInputMessage="1" showErrorMessage="1" sqref="G19:G23" xr:uid="{00000000-0002-0000-0000-000000000000}">
      <formula1>"Ja,Nee"</formula1>
    </dataValidation>
    <dataValidation type="list" allowBlank="1" showInputMessage="1" showErrorMessage="1" prompt="Neem bij meer dan 20 licenties contact op ivm speciale prijsafspraak" sqref="G9:G13" xr:uid="{00000000-0002-0000-0000-000001000000}">
      <formula1>$O$29:$O$49</formula1>
    </dataValidation>
    <dataValidation type="list" allowBlank="1" showInputMessage="1" showErrorMessage="1" prompt="Het PrivateWealthNetwork is zonder kosten inbegrepen bij de keuze voor een volledig pakket" sqref="G16" xr:uid="{00000000-0002-0000-0000-000002000000}">
      <formula1>"Ja,Nee"</formula1>
    </dataValidation>
  </dataValidations>
  <hyperlinks>
    <hyperlink ref="J9" r:id="rId1" tooltip="Ga naar website" xr:uid="{00000000-0004-0000-0000-000000000000}"/>
    <hyperlink ref="J10:J12" r:id="rId2" tooltip="Ga naar website" display="Private Wealth Navigator" xr:uid="{00000000-0004-0000-0000-000001000000}"/>
    <hyperlink ref="J10" r:id="rId3" tooltip="Ga naar website" xr:uid="{00000000-0004-0000-0000-000002000000}"/>
    <hyperlink ref="J11" r:id="rId4" tooltip="Ga naar website" xr:uid="{00000000-0004-0000-0000-000003000000}"/>
    <hyperlink ref="J12" r:id="rId5" tooltip="Ga naar website" xr:uid="{00000000-0004-0000-0000-000004000000}"/>
    <hyperlink ref="J17" r:id="rId6" tooltip="Ga naar website" xr:uid="{00000000-0004-0000-0000-000005000000}"/>
    <hyperlink ref="J30" r:id="rId7" tooltip="Ga naar website" xr:uid="{00000000-0004-0000-0000-000006000000}"/>
    <hyperlink ref="J16" r:id="rId8" tooltip="Ga naar website" xr:uid="{00000000-0004-0000-0000-000007000000}"/>
  </hyperlinks>
  <pageMargins left="0.70866141732283472" right="0.70866141732283472" top="0.74803149606299213" bottom="0.74803149606299213" header="0.31496062992125984" footer="0.31496062992125984"/>
  <pageSetup scale="85" orientation="landscape" r:id="rId9"/>
  <headerFooter>
    <oddFooter>&amp;LAan deze berekening kunnen geen rechten worden ontleend&amp;RDeze berekening is geprint op &amp;D om &amp;T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Berekening</vt:lpstr>
      <vt:lpstr>Berekening!Afdrukbereik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T.M. Rietveld</dc:creator>
  <cp:lastModifiedBy>T.M. Rietveld</cp:lastModifiedBy>
  <cp:lastPrinted>2019-02-06T10:18:16Z</cp:lastPrinted>
  <dcterms:created xsi:type="dcterms:W3CDTF">2018-12-13T15:41:16Z</dcterms:created>
  <dcterms:modified xsi:type="dcterms:W3CDTF">2019-12-06T08:32:26Z</dcterms:modified>
</cp:coreProperties>
</file>